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d1_">Sheet1!$J$12</definedName>
    <definedName name="d2_">Sheet1!$J$13</definedName>
    <definedName name="F">Sheet1!$J$11</definedName>
    <definedName name="k">Sheet1!$E$13</definedName>
    <definedName name="N__d1">Sheet1!$J$16</definedName>
    <definedName name="N__d2">Sheet1!$J$17</definedName>
    <definedName name="Nd1_">Sheet1!$J$14</definedName>
    <definedName name="Nd2_">Sheet1!$J$15</definedName>
    <definedName name="Pd1_">Sheet1!$J$18</definedName>
    <definedName name="Pd2_">Sheet1!#REF!</definedName>
    <definedName name="_xlnm.Print_Area" localSheetId="0">Sheet1!$B$1:$G$31</definedName>
    <definedName name="q">Sheet1!$J$9</definedName>
    <definedName name="rr">Sheet1!$J$10</definedName>
    <definedName name="s">Sheet1!$E$14</definedName>
    <definedName name="t">Sheet1!$J$8</definedName>
    <definedName name="u">Sheet1!#REF!</definedName>
    <definedName name="v">Sheet1!$E$29</definedName>
  </definedNames>
  <calcPr calcId="144525" iterate="1"/>
</workbook>
</file>

<file path=xl/calcChain.xml><?xml version="1.0" encoding="utf-8"?>
<calcChain xmlns="http://schemas.openxmlformats.org/spreadsheetml/2006/main">
  <c r="C16" i="1" l="1"/>
  <c r="C27" i="1"/>
  <c r="C24" i="1"/>
  <c r="G15" i="1" l="1"/>
  <c r="G20" i="1" l="1"/>
  <c r="G19" i="1"/>
  <c r="J7" i="1"/>
  <c r="C20" i="1"/>
  <c r="C19" i="1"/>
  <c r="C21" i="1"/>
  <c r="C25" i="1" l="1"/>
  <c r="C22" i="1"/>
  <c r="J8" i="1"/>
  <c r="E24" i="1"/>
  <c r="E27" i="1"/>
  <c r="E21" i="1"/>
  <c r="J10" i="1" l="1"/>
  <c r="J9" i="1"/>
  <c r="E15" i="1" l="1"/>
  <c r="J11" i="1"/>
  <c r="J12" i="1" l="1"/>
  <c r="J13" i="1"/>
  <c r="J14" i="1"/>
  <c r="J15" i="1"/>
  <c r="J16" i="1"/>
  <c r="J17" i="1"/>
  <c r="J18" i="1"/>
  <c r="J19" i="1"/>
  <c r="J21" i="1"/>
  <c r="J22" i="1"/>
  <c r="J23" i="1"/>
  <c r="E29" i="1"/>
</calcChain>
</file>

<file path=xl/sharedStrings.xml><?xml version="1.0" encoding="utf-8"?>
<sst xmlns="http://schemas.openxmlformats.org/spreadsheetml/2006/main" count="42" uniqueCount="40">
  <si>
    <t>Input data:</t>
  </si>
  <si>
    <t>e.g. enter "6.375%" as "6.375"</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</si>
  <si>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</si>
  <si>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</si>
  <si>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</si>
  <si>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Strike</t>
  </si>
  <si>
    <t>Current spot price</t>
  </si>
  <si>
    <t>N(-d1)</t>
  </si>
  <si>
    <t>N(-d2)</t>
  </si>
  <si>
    <t>d1</t>
  </si>
  <si>
    <t>d2</t>
  </si>
  <si>
    <t>Choices for input:</t>
  </si>
  <si>
    <t>Input specific dates or numbers of days?</t>
  </si>
  <si>
    <t>Input continuously compounded interest rates or 'normal' quoted rates for the period?</t>
  </si>
  <si>
    <t>Vega</t>
  </si>
  <si>
    <t>Nd1</t>
  </si>
  <si>
    <t>Nd2</t>
  </si>
  <si>
    <t>Pd1</t>
  </si>
  <si>
    <t>t = days/365</t>
  </si>
  <si>
    <t>Days until expiry</t>
  </si>
  <si>
    <r>
      <t xml:space="preserve">(Do </t>
    </r>
    <r>
      <rPr>
        <b/>
        <sz val="11"/>
        <color theme="1"/>
        <rFont val="Calibri"/>
        <family val="2"/>
        <scheme val="minor"/>
      </rPr>
      <t>not</t>
    </r>
    <r>
      <rPr>
        <sz val="11"/>
        <color theme="1"/>
        <rFont val="Calibri"/>
        <family val="2"/>
        <scheme val="minor"/>
      </rPr>
      <t xml:space="preserve"> delete this part of the spreadsheet!)</t>
    </r>
  </si>
  <si>
    <t>What is an option's implied volatility, given its premium value (and assuming the Black &amp; Scholes model)?</t>
  </si>
  <si>
    <t>Implied volatility</t>
  </si>
  <si>
    <t>Is this is a call or a put?</t>
  </si>
  <si>
    <t>CALL</t>
  </si>
  <si>
    <t>Year basis for a 'normal' quoted interest rate (usually 360 or 365)</t>
  </si>
  <si>
    <t>Year basis for a 'normal' quoted dividend rate (usually 360 or 365)</t>
  </si>
  <si>
    <t>NORMAL</t>
  </si>
  <si>
    <t>INPUT</t>
  </si>
  <si>
    <t>Input forward price or let the spreadsheet calculate it theoretically from the interest rates?</t>
  </si>
  <si>
    <t>DAYS</t>
  </si>
  <si>
    <t xml:space="preserve">    Forward price calculated using the spot above and the interest rates below</t>
  </si>
  <si>
    <t>Premium based on implied vol</t>
  </si>
  <si>
    <t>Next try for implied vol</t>
  </si>
  <si>
    <t>q =dividend rate (cont comp)</t>
  </si>
  <si>
    <t>r = interest rate (cont comp)</t>
  </si>
  <si>
    <t>f = forward price</t>
  </si>
  <si>
    <t>Next try suppressing error</t>
  </si>
  <si>
    <r>
      <rPr>
        <b/>
        <sz val="11"/>
        <color theme="1"/>
        <rFont val="Calibri"/>
        <family val="2"/>
        <scheme val="minor"/>
      </rPr>
      <t>Note:</t>
    </r>
    <r>
      <rPr>
        <sz val="11"/>
        <color theme="1"/>
        <rFont val="Calibri"/>
        <family val="2"/>
        <scheme val="minor"/>
      </rPr>
      <t xml:space="preserve">
The spreadsheet requires iterative calculation for circular references to be enabled in Excel.
</t>
    </r>
  </si>
  <si>
    <t>Premium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</si>
</sst>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0.000%"/>
    <numFmt numFmtId="165" formatCode="[$-F800]dddd\,\ mmmm\ dd\,\ yyyy"/>
    <numFmt numFmtId="166" formatCode="0.000000"/>
    <numFmt numFmtId="167" formatCode="0.0000"/>
  </numFmts>
  <fonts count="15"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i/>
      <sz val="11"/>
      <color rgb="FFFF0000"/>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66">
    <xf numFmtId="0" fontId="0" fillId="0" borderId="0" xfId="0"/>
    <xf numFmtId="0" fontId="8" fillId="4" borderId="0" xfId="7" applyBorder="1" applyProtection="1">
      <protection locked="0"/>
    </xf>
    <xf numFmtId="164" fontId="8" fillId="4" borderId="0" xfId="7" applyNumberFormat="1" applyBorder="1" applyProtection="1">
      <protection locked="0"/>
    </xf>
    <xf numFmtId="165" fontId="8" fillId="4" borderId="0" xfId="7" applyNumberFormat="1" applyBorder="1" applyProtection="1">
      <protection locked="0"/>
    </xf>
    <xf numFmtId="0" fontId="8" fillId="4" borderId="0" xfId="7" applyNumberFormat="1" applyBorder="1" applyProtection="1">
      <protection locked="0"/>
    </xf>
    <xf numFmtId="4" fontId="8" fillId="4" borderId="0" xfId="7" applyNumberFormat="1" applyBorder="1" applyAlignment="1" applyProtection="1">
      <alignment horizontal="right"/>
      <protection locked="0"/>
    </xf>
    <xf numFmtId="4" fontId="8" fillId="4" borderId="11" xfId="7" applyNumberFormat="1" applyBorder="1" applyAlignment="1" applyProtection="1">
      <alignment horizontal="right"/>
      <protection locked="0"/>
    </xf>
    <xf numFmtId="0" fontId="8" fillId="4" borderId="11" xfId="7" applyBorder="1" applyProtection="1">
      <protection locked="0"/>
    </xf>
    <xf numFmtId="0" fontId="11" fillId="0" borderId="0" xfId="0" applyFont="1" applyProtection="1"/>
    <xf numFmtId="0" fontId="0" fillId="0" borderId="0" xfId="0" applyProtection="1"/>
    <xf numFmtId="0" fontId="0" fillId="0" borderId="0" xfId="0" applyFont="1" applyProtection="1"/>
    <xf numFmtId="0" fontId="4" fillId="3" borderId="2" xfId="4" applyBorder="1" applyProtection="1"/>
    <xf numFmtId="0" fontId="2" fillId="3" borderId="3" xfId="8" applyBorder="1" applyProtection="1"/>
    <xf numFmtId="0" fontId="4" fillId="3" borderId="3" xfId="4" applyBorder="1" applyProtection="1"/>
    <xf numFmtId="0" fontId="4" fillId="3" borderId="4" xfId="4" applyBorder="1" applyProtection="1"/>
    <xf numFmtId="0" fontId="4" fillId="3" borderId="5" xfId="4" applyBorder="1" applyProtection="1"/>
    <xf numFmtId="0" fontId="6" fillId="3" borderId="0" xfId="3" applyBorder="1" applyProtection="1"/>
    <xf numFmtId="0" fontId="4" fillId="3" borderId="0" xfId="4" applyBorder="1" applyProtection="1"/>
    <xf numFmtId="0" fontId="4" fillId="3" borderId="6" xfId="4" applyBorder="1" applyProtection="1"/>
    <xf numFmtId="0" fontId="10" fillId="3" borderId="0" xfId="6" applyBorder="1" applyAlignment="1" applyProtection="1">
      <alignment horizontal="right"/>
    </xf>
    <xf numFmtId="0" fontId="12" fillId="4" borderId="0" xfId="0" applyFont="1" applyFill="1" applyProtection="1"/>
    <xf numFmtId="0" fontId="0" fillId="4" borderId="0" xfId="0" applyFill="1" applyProtection="1"/>
    <xf numFmtId="0" fontId="5" fillId="4" borderId="0" xfId="11" applyBorder="1" applyProtection="1"/>
    <xf numFmtId="0" fontId="5" fillId="4" borderId="11" xfId="11" applyBorder="1" applyProtection="1"/>
    <xf numFmtId="0" fontId="14" fillId="3" borderId="6" xfId="5" applyFont="1" applyBorder="1" applyProtection="1"/>
    <xf numFmtId="0" fontId="0" fillId="5" borderId="0" xfId="0" applyFill="1" applyProtection="1"/>
    <xf numFmtId="0" fontId="5" fillId="5" borderId="0" xfId="11" applyFont="1" applyFill="1" applyBorder="1" applyProtection="1"/>
    <xf numFmtId="0" fontId="0" fillId="5" borderId="0" xfId="0" applyFont="1" applyFill="1" applyProtection="1"/>
    <xf numFmtId="0" fontId="9" fillId="4" borderId="0" xfId="11" applyFont="1" applyBorder="1" applyProtection="1"/>
    <xf numFmtId="0" fontId="13" fillId="4" borderId="0" xfId="0" applyFont="1" applyFill="1" applyProtection="1"/>
    <xf numFmtId="0" fontId="13" fillId="3" borderId="6" xfId="4" applyFont="1" applyBorder="1" applyProtection="1"/>
    <xf numFmtId="0" fontId="9" fillId="3" borderId="6" xfId="5" applyFont="1" applyBorder="1" applyProtection="1"/>
    <xf numFmtId="0" fontId="9" fillId="3" borderId="6" xfId="5" applyBorder="1" applyProtection="1"/>
    <xf numFmtId="164" fontId="0" fillId="5" borderId="0" xfId="0" applyNumberFormat="1" applyFill="1" applyProtection="1"/>
    <xf numFmtId="0" fontId="0" fillId="3" borderId="0" xfId="0" applyFill="1" applyProtection="1"/>
    <xf numFmtId="0" fontId="9" fillId="4" borderId="11" xfId="11" applyFont="1" applyBorder="1" applyProtection="1"/>
    <xf numFmtId="164" fontId="9" fillId="4" borderId="0" xfId="11" applyNumberFormat="1" applyFont="1" applyBorder="1" applyProtection="1"/>
    <xf numFmtId="0" fontId="4" fillId="3" borderId="7" xfId="4" applyBorder="1" applyProtection="1"/>
    <xf numFmtId="0" fontId="7" fillId="3" borderId="8" xfId="9" applyBorder="1" applyProtection="1"/>
    <xf numFmtId="0" fontId="4" fillId="3" borderId="8" xfId="4" applyBorder="1" applyProtection="1"/>
    <xf numFmtId="0" fontId="7" fillId="3" borderId="9" xfId="9" applyBorder="1" applyProtection="1"/>
    <xf numFmtId="0" fontId="0" fillId="0" borderId="0" xfId="0" applyFill="1" applyProtection="1"/>
    <xf numFmtId="0" fontId="0" fillId="0" borderId="0" xfId="0" applyFill="1" applyBorder="1" applyProtection="1"/>
    <xf numFmtId="0" fontId="5" fillId="4" borderId="12" xfId="11" applyBorder="1" applyProtection="1"/>
    <xf numFmtId="0" fontId="5" fillId="4" borderId="13" xfId="11" applyBorder="1" applyProtection="1"/>
    <xf numFmtId="0" fontId="0" fillId="0" borderId="0" xfId="4" applyFont="1" applyFill="1" applyBorder="1" applyProtection="1"/>
    <xf numFmtId="166" fontId="3" fillId="0" borderId="0" xfId="0" applyNumberFormat="1" applyFont="1" applyFill="1" applyBorder="1" applyProtection="1"/>
    <xf numFmtId="167" fontId="5" fillId="5" borderId="0" xfId="0" applyNumberFormat="1" applyFont="1" applyFill="1" applyBorder="1" applyProtection="1"/>
    <xf numFmtId="10" fontId="3" fillId="4" borderId="14" xfId="7" applyNumberFormat="1" applyFont="1" applyBorder="1" applyProtection="1"/>
    <xf numFmtId="0" fontId="8" fillId="4" borderId="11" xfId="0" applyFont="1" applyFill="1" applyBorder="1" applyProtection="1">
      <protection locked="0"/>
    </xf>
    <xf numFmtId="0" fontId="9" fillId="4" borderId="11" xfId="11" applyFont="1" applyBorder="1" applyProtection="1">
      <protection locked="0"/>
    </xf>
    <xf numFmtId="0" fontId="11" fillId="5" borderId="2"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xf>
    <xf numFmtId="0" fontId="11" fillId="5" borderId="4" xfId="0" applyFont="1" applyFill="1" applyBorder="1" applyAlignment="1" applyProtection="1">
      <alignment horizontal="center" vertical="top"/>
    </xf>
    <xf numFmtId="0" fontId="11" fillId="5" borderId="5" xfId="0" applyFont="1" applyFill="1" applyBorder="1" applyAlignment="1" applyProtection="1">
      <alignment horizontal="center" vertical="top"/>
    </xf>
    <xf numFmtId="0" fontId="11" fillId="5" borderId="0" xfId="0" applyFont="1" applyFill="1" applyBorder="1" applyAlignment="1" applyProtection="1">
      <alignment horizontal="center" vertical="top"/>
    </xf>
    <xf numFmtId="0" fontId="11" fillId="5" borderId="6" xfId="0" applyFont="1" applyFill="1" applyBorder="1" applyAlignment="1" applyProtection="1">
      <alignment horizontal="center" vertical="top"/>
    </xf>
    <xf numFmtId="0" fontId="11" fillId="5" borderId="7" xfId="0" applyFont="1" applyFill="1" applyBorder="1" applyAlignment="1" applyProtection="1">
      <alignment horizontal="center" vertical="top"/>
    </xf>
    <xf numFmtId="0" fontId="11" fillId="5" borderId="8" xfId="0" applyFont="1" applyFill="1" applyBorder="1" applyAlignment="1" applyProtection="1">
      <alignment horizontal="center" vertical="top"/>
    </xf>
    <xf numFmtId="0" fontId="11" fillId="5" borderId="9" xfId="0" applyFont="1" applyFill="1" applyBorder="1" applyAlignment="1" applyProtection="1">
      <alignment horizontal="center" vertical="top"/>
    </xf>
    <xf numFmtId="0" fontId="0" fillId="6" borderId="4" xfId="0" applyFill="1" applyBorder="1" applyProtection="1"/>
    <xf numFmtId="0" fontId="0" fillId="6" borderId="5" xfId="0" applyFill="1" applyBorder="1" applyProtection="1"/>
    <xf numFmtId="0" fontId="0" fillId="6" borderId="6" xfId="0" applyFill="1" applyBorder="1" applyProtection="1"/>
    <xf numFmtId="0" fontId="0" fillId="6" borderId="7" xfId="0" applyFill="1" applyBorder="1" applyProtection="1"/>
    <xf numFmtId="0" fontId="0" fillId="6" borderId="9" xfId="0" applyFill="1" applyBorder="1" applyProtection="1"/>
    <xf numFmtId="0" fontId="0" fillId="6" borderId="2" xfId="0" applyFill="1" applyBorder="1" applyAlignment="1" applyProtection="1">
      <alignment wrapText="1"/>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3">
    <dxf>
      <font>
        <strike/>
        <color theme="3" tint="0.79998168889431442"/>
      </font>
    </dxf>
    <dxf>
      <numFmt numFmtId="0" formatCode="General"/>
    </dxf>
    <dxf>
      <font>
        <b val="0"/>
        <i/>
        <strike/>
        <color theme="3" tint="0.79998168889431442"/>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zoomScaleNormal="100" workbookViewId="0">
      <selection activeCell="E10" sqref="E10"/>
    </sheetView>
  </sheetViews>
  <sheetFormatPr defaultRowHeight="15" x14ac:dyDescent="0.25"/>
  <cols>
    <col min="1" max="2" width="2.85546875" style="9" customWidth="1"/>
    <col min="3" max="3" width="65.7109375" style="9" customWidth="1"/>
    <col min="4" max="4" width="18.28515625" style="9" customWidth="1"/>
    <col min="5" max="5" width="17.7109375" style="9" customWidth="1"/>
    <col min="6" max="6" width="1.85546875" style="9" customWidth="1"/>
    <col min="7" max="7" width="29.5703125" style="9" customWidth="1"/>
    <col min="8" max="8" width="2.5703125" style="9" customWidth="1"/>
    <col min="9" max="9" width="33.42578125" style="9" customWidth="1"/>
    <col min="10" max="10" width="11.28515625" style="9" customWidth="1"/>
    <col min="11" max="16384" width="9.140625" style="9"/>
  </cols>
  <sheetData>
    <row r="1" spans="1:10" x14ac:dyDescent="0.25">
      <c r="A1" s="8"/>
      <c r="B1" s="51" t="s">
        <v>4</v>
      </c>
      <c r="C1" s="52"/>
      <c r="D1" s="52"/>
      <c r="E1" s="52"/>
      <c r="F1" s="52"/>
      <c r="G1" s="53"/>
      <c r="I1" s="65" t="s">
        <v>38</v>
      </c>
      <c r="J1" s="60"/>
    </row>
    <row r="2" spans="1:10" x14ac:dyDescent="0.25">
      <c r="A2" s="8"/>
      <c r="B2" s="54"/>
      <c r="C2" s="55"/>
      <c r="D2" s="55"/>
      <c r="E2" s="55"/>
      <c r="F2" s="55"/>
      <c r="G2" s="56"/>
      <c r="I2" s="61"/>
      <c r="J2" s="62"/>
    </row>
    <row r="3" spans="1:10" x14ac:dyDescent="0.25">
      <c r="A3" s="8"/>
      <c r="B3" s="54"/>
      <c r="C3" s="55"/>
      <c r="D3" s="55"/>
      <c r="E3" s="55"/>
      <c r="F3" s="55"/>
      <c r="G3" s="56"/>
      <c r="I3" s="61"/>
      <c r="J3" s="62"/>
    </row>
    <row r="4" spans="1:10" ht="15.75" thickBot="1" x14ac:dyDescent="0.3">
      <c r="A4" s="8"/>
      <c r="B4" s="57"/>
      <c r="C4" s="58"/>
      <c r="D4" s="58"/>
      <c r="E4" s="58"/>
      <c r="F4" s="58"/>
      <c r="G4" s="59"/>
      <c r="I4" s="63"/>
      <c r="J4" s="64"/>
    </row>
    <row r="5" spans="1:10" ht="15.75" thickBot="1" x14ac:dyDescent="0.3">
      <c r="I5" s="42"/>
      <c r="J5" s="42"/>
    </row>
    <row r="6" spans="1:10" s="10" customFormat="1" ht="21" x14ac:dyDescent="0.35">
      <c r="B6" s="11"/>
      <c r="C6" s="12" t="s">
        <v>22</v>
      </c>
      <c r="D6" s="12"/>
      <c r="E6" s="13"/>
      <c r="F6" s="13"/>
      <c r="G6" s="14"/>
      <c r="H6" s="9"/>
      <c r="I6" s="25" t="s">
        <v>20</v>
      </c>
      <c r="J6" s="25"/>
    </row>
    <row r="7" spans="1:10" s="10" customFormat="1" ht="21" x14ac:dyDescent="0.35">
      <c r="B7" s="15"/>
      <c r="C7" s="16" t="s">
        <v>21</v>
      </c>
      <c r="D7" s="16"/>
      <c r="E7" s="17"/>
      <c r="F7" s="17"/>
      <c r="G7" s="18"/>
      <c r="H7" s="9"/>
      <c r="I7" s="26" t="s">
        <v>19</v>
      </c>
      <c r="J7" s="27">
        <f>IF(E10="dates",E20-E19,E19)</f>
        <v>91</v>
      </c>
    </row>
    <row r="8" spans="1:10" ht="18.75" x14ac:dyDescent="0.3">
      <c r="B8" s="15"/>
      <c r="C8" s="17"/>
      <c r="D8" s="17"/>
      <c r="E8" s="19" t="s">
        <v>0</v>
      </c>
      <c r="F8" s="17"/>
      <c r="G8" s="18"/>
      <c r="I8" s="25" t="s">
        <v>18</v>
      </c>
      <c r="J8" s="25">
        <f>J7/365</f>
        <v>0.24931506849315069</v>
      </c>
    </row>
    <row r="9" spans="1:10" x14ac:dyDescent="0.25">
      <c r="B9" s="15"/>
      <c r="C9" s="20" t="s">
        <v>11</v>
      </c>
      <c r="D9" s="20"/>
      <c r="E9" s="21"/>
      <c r="F9" s="17"/>
      <c r="G9" s="18"/>
      <c r="I9" s="25" t="s">
        <v>34</v>
      </c>
      <c r="J9" s="33">
        <f>IF(E11="continuous",E25,E27)</f>
        <v>3.0301916565932993E-2</v>
      </c>
    </row>
    <row r="10" spans="1:10" x14ac:dyDescent="0.25">
      <c r="B10" s="15"/>
      <c r="C10" s="22" t="s">
        <v>12</v>
      </c>
      <c r="D10" s="22"/>
      <c r="E10" s="5" t="s">
        <v>30</v>
      </c>
      <c r="F10" s="17"/>
      <c r="G10" s="18"/>
      <c r="I10" s="25" t="s">
        <v>35</v>
      </c>
      <c r="J10" s="33">
        <f>IF(E11="continuous",E22,E24)</f>
        <v>7.0351625252364131E-2</v>
      </c>
    </row>
    <row r="11" spans="1:10" x14ac:dyDescent="0.25">
      <c r="B11" s="15"/>
      <c r="C11" s="22" t="s">
        <v>13</v>
      </c>
      <c r="D11" s="22"/>
      <c r="E11" s="5" t="s">
        <v>27</v>
      </c>
      <c r="F11" s="17"/>
      <c r="G11" s="18"/>
      <c r="I11" s="25" t="s">
        <v>36</v>
      </c>
      <c r="J11" s="25">
        <f>IF(E12="input",E16,E14*EXP((J10-J9)*t))</f>
        <v>1.2915000000000001</v>
      </c>
    </row>
    <row r="12" spans="1:10" x14ac:dyDescent="0.25">
      <c r="B12" s="15"/>
      <c r="C12" s="23" t="s">
        <v>29</v>
      </c>
      <c r="D12" s="23"/>
      <c r="E12" s="6" t="s">
        <v>28</v>
      </c>
      <c r="F12" s="17"/>
      <c r="G12" s="18"/>
      <c r="I12" s="25" t="s">
        <v>9</v>
      </c>
      <c r="J12" s="25">
        <f ca="1">(LN(F/k)+0.5*v^2*t)/(v*t^0.5)</f>
        <v>5.8578202857004255E-2</v>
      </c>
    </row>
    <row r="13" spans="1:10" x14ac:dyDescent="0.25">
      <c r="B13" s="15"/>
      <c r="C13" s="22" t="s">
        <v>5</v>
      </c>
      <c r="D13" s="22"/>
      <c r="E13" s="4">
        <v>1.29</v>
      </c>
      <c r="F13" s="17"/>
      <c r="G13" s="24"/>
      <c r="I13" s="25" t="s">
        <v>10</v>
      </c>
      <c r="J13" s="25">
        <f ca="1">(LN(F/k)-0.5*v^2*t)/(v*t^0.5)</f>
        <v>-3.3274246642130065E-2</v>
      </c>
    </row>
    <row r="14" spans="1:10" x14ac:dyDescent="0.25">
      <c r="B14" s="15"/>
      <c r="C14" s="22" t="s">
        <v>6</v>
      </c>
      <c r="D14" s="22"/>
      <c r="E14" s="1">
        <v>1.278</v>
      </c>
      <c r="F14" s="17"/>
      <c r="G14" s="18"/>
      <c r="I14" s="25" t="s">
        <v>15</v>
      </c>
      <c r="J14" s="25">
        <f ca="1">_xlfn.NORM.S.DIST(d1_,TRUE)</f>
        <v>0.52335596376792148</v>
      </c>
    </row>
    <row r="15" spans="1:10" x14ac:dyDescent="0.25">
      <c r="B15" s="15"/>
      <c r="C15" s="28" t="s">
        <v>31</v>
      </c>
      <c r="D15" s="22"/>
      <c r="E15" s="29">
        <f>E14*EXP((J10-J9)*J7/365)</f>
        <v>1.2908247456786042</v>
      </c>
      <c r="F15" s="17"/>
      <c r="G15" s="30" t="str">
        <f>IF(E12="input","This will be ignored","")</f>
        <v>This will be ignored</v>
      </c>
      <c r="I15" s="25" t="s">
        <v>16</v>
      </c>
      <c r="J15" s="25">
        <f ca="1">_xlfn.NORM.S.DIST(d2_,TRUE)</f>
        <v>0.48672794529340652</v>
      </c>
    </row>
    <row r="16" spans="1:10" x14ac:dyDescent="0.25">
      <c r="B16" s="15"/>
      <c r="C16" s="23" t="str">
        <f>IF(E12="input","Forward price input by you","")</f>
        <v>Forward price input by you</v>
      </c>
      <c r="D16" s="23"/>
      <c r="E16" s="7">
        <v>1.2915000000000001</v>
      </c>
      <c r="F16" s="17"/>
      <c r="G16" s="18"/>
      <c r="I16" s="25" t="s">
        <v>7</v>
      </c>
      <c r="J16" s="25">
        <f ca="1">1-J14</f>
        <v>0.47664403623207852</v>
      </c>
    </row>
    <row r="17" spans="2:10" x14ac:dyDescent="0.25">
      <c r="B17" s="15"/>
      <c r="C17" s="22" t="s">
        <v>23</v>
      </c>
      <c r="D17" s="22"/>
      <c r="E17" s="5" t="s">
        <v>24</v>
      </c>
      <c r="F17" s="17"/>
      <c r="G17" s="18"/>
      <c r="I17" s="25" t="s">
        <v>8</v>
      </c>
      <c r="J17" s="25">
        <f ca="1">1-J15</f>
        <v>0.51327205470659343</v>
      </c>
    </row>
    <row r="18" spans="2:10" x14ac:dyDescent="0.25">
      <c r="B18" s="15"/>
      <c r="C18" s="23" t="s">
        <v>39</v>
      </c>
      <c r="D18" s="23"/>
      <c r="E18" s="49">
        <v>4.7199999999999999E-2</v>
      </c>
      <c r="F18" s="17"/>
      <c r="G18" s="18"/>
      <c r="I18" s="25" t="s">
        <v>17</v>
      </c>
      <c r="J18" s="25">
        <f ca="1">_xlfn.NORM.S.DIST(d1_,FALSE)</f>
        <v>0.39825840079892544</v>
      </c>
    </row>
    <row r="19" spans="2:10" x14ac:dyDescent="0.25">
      <c r="B19" s="15"/>
      <c r="C19" s="22" t="str">
        <f>IF(E10="dates","Date now","Number of days until expiry")</f>
        <v>Number of days until expiry</v>
      </c>
      <c r="D19" s="22"/>
      <c r="E19" s="3">
        <v>91</v>
      </c>
      <c r="F19" s="17"/>
      <c r="G19" s="32" t="str">
        <f>IF(E10="dates","e.g. enter '23-2-12'","")</f>
        <v/>
      </c>
      <c r="I19" s="25" t="s">
        <v>14</v>
      </c>
      <c r="J19" s="25">
        <f ca="1">s*EXP(-q*t)*Pd1_*t^0.5</f>
        <v>0.25222555604990959</v>
      </c>
    </row>
    <row r="20" spans="2:10" x14ac:dyDescent="0.25">
      <c r="B20" s="15"/>
      <c r="C20" s="22" t="str">
        <f>IF(E10="dates","Expiry date","")</f>
        <v/>
      </c>
      <c r="D20" s="22"/>
      <c r="E20" s="3">
        <v>41106</v>
      </c>
      <c r="F20" s="17"/>
      <c r="G20" s="32" t="str">
        <f>IF(E10="dates","e.g. enter '23-2-12'","")</f>
        <v/>
      </c>
      <c r="I20" s="25"/>
      <c r="J20" s="25"/>
    </row>
    <row r="21" spans="2:10" x14ac:dyDescent="0.25">
      <c r="B21" s="15"/>
      <c r="C21" s="35" t="str">
        <f>IF(E10="dates","    Number of days until expiry","")</f>
        <v/>
      </c>
      <c r="D21" s="35"/>
      <c r="E21" s="50" t="str">
        <f>IF(E10="dates",J7,"")</f>
        <v/>
      </c>
      <c r="F21" s="34"/>
      <c r="G21" s="31"/>
      <c r="I21" s="25" t="s">
        <v>32</v>
      </c>
      <c r="J21" s="47">
        <f ca="1">IF(E17="CALL",(F*Nd1_-k*Nd2_)*EXP(-rr*t),(-F*N__d1+k*N__d2)*EXP(-rr*t))</f>
        <v>4.7199999999998465E-2</v>
      </c>
    </row>
    <row r="22" spans="2:10" x14ac:dyDescent="0.25">
      <c r="B22" s="15"/>
      <c r="C22" s="22" t="str">
        <f>IF(E11="continuous","Interest rate (continuously compounded, 365-day year)","'Normal' quoted interest rate for "&amp;TEXT(J7,"#")&amp;" days")</f>
        <v>'Normal' quoted interest rate for 91 days</v>
      </c>
      <c r="D22" s="22"/>
      <c r="E22" s="2">
        <v>7.0000000000000007E-2</v>
      </c>
      <c r="F22" s="17"/>
      <c r="G22" s="31" t="s">
        <v>1</v>
      </c>
      <c r="I22" s="25" t="s">
        <v>33</v>
      </c>
      <c r="J22" s="25">
        <f ca="1">IF(E29+(E18-J21)/J19&lt;0.0001,0.0001,E29+(E18-J21)/J19)</f>
        <v>0.18395706781842017</v>
      </c>
    </row>
    <row r="23" spans="2:10" x14ac:dyDescent="0.25">
      <c r="B23" s="15"/>
      <c r="C23" s="22" t="s">
        <v>25</v>
      </c>
      <c r="D23" s="22"/>
      <c r="E23" s="4">
        <v>360</v>
      </c>
      <c r="F23" s="17"/>
      <c r="G23" s="31"/>
      <c r="I23" s="25" t="s">
        <v>37</v>
      </c>
      <c r="J23" s="25">
        <f ca="1">IF(ISERROR(J22),0.1,J22)</f>
        <v>0.18395706781842017</v>
      </c>
    </row>
    <row r="24" spans="2:10" x14ac:dyDescent="0.25">
      <c r="B24" s="15"/>
      <c r="C24" s="28" t="str">
        <f>IF(E11="continuous","    Equivalent 'normal'  interest rate for "&amp;TEXT(J7,"#")&amp;" days","    Equivalent continuously compounded interest rate (365-day year)")</f>
        <v xml:space="preserve">    Equivalent continuously compounded interest rate (365-day year)</v>
      </c>
      <c r="D24" s="28"/>
      <c r="E24" s="36">
        <f>IF(E11="continuous",(EXP(E22*J7/365)-1)*(E23/J7),LN(1+E22*J7/E23)*365/J7)</f>
        <v>7.0351625252364131E-2</v>
      </c>
      <c r="F24" s="17"/>
      <c r="G24" s="31"/>
    </row>
    <row r="25" spans="2:10" x14ac:dyDescent="0.25">
      <c r="B25" s="15"/>
      <c r="C25" s="22" t="str">
        <f>IF(E11="continuous","Dividend rate (continuously compounded, 365-day year)","'Normal' quoted dividend rate for "&amp;TEXT(J7,"#")&amp;" days")</f>
        <v>'Normal' quoted dividend rate for 91 days</v>
      </c>
      <c r="D25" s="22"/>
      <c r="E25" s="2">
        <v>0.03</v>
      </c>
      <c r="F25" s="17"/>
      <c r="G25" s="31" t="s">
        <v>1</v>
      </c>
    </row>
    <row r="26" spans="2:10" x14ac:dyDescent="0.25">
      <c r="B26" s="15"/>
      <c r="C26" s="22" t="s">
        <v>26</v>
      </c>
      <c r="D26" s="22"/>
      <c r="E26" s="4">
        <v>360</v>
      </c>
      <c r="F26" s="17"/>
      <c r="G26" s="31"/>
    </row>
    <row r="27" spans="2:10" x14ac:dyDescent="0.25">
      <c r="B27" s="15"/>
      <c r="C27" s="28" t="str">
        <f>IF(E11="continuous","    Equivalent 'normal' quoted dividend rate for "&amp;TEXT(J7,"#")&amp;" days","    Equivalent continuously compounded dividend rate (365-day year)")</f>
        <v xml:space="preserve">    Equivalent continuously compounded dividend rate (365-day year)</v>
      </c>
      <c r="D27" s="28"/>
      <c r="E27" s="36">
        <f>IF(E11="continuous",((EXP(E25*J7/365)-1)*(E26/J7)),LN(1+E25*J7/E26)*365/J7)</f>
        <v>3.0301916565932993E-2</v>
      </c>
      <c r="F27" s="17"/>
      <c r="G27" s="31"/>
    </row>
    <row r="28" spans="2:10" ht="19.5" thickBot="1" x14ac:dyDescent="0.35">
      <c r="B28" s="15"/>
      <c r="C28" s="17"/>
      <c r="D28" s="17"/>
      <c r="E28" s="19" t="s">
        <v>2</v>
      </c>
      <c r="F28" s="17"/>
      <c r="G28" s="18"/>
    </row>
    <row r="29" spans="2:10" ht="15.75" thickBot="1" x14ac:dyDescent="0.3">
      <c r="B29" s="15"/>
      <c r="C29" s="43" t="s">
        <v>22</v>
      </c>
      <c r="D29" s="44"/>
      <c r="E29" s="48">
        <f ca="1">J23</f>
        <v>0.18395706781842017</v>
      </c>
      <c r="F29" s="17"/>
      <c r="G29" s="18"/>
      <c r="I29" s="41"/>
    </row>
    <row r="30" spans="2:10" x14ac:dyDescent="0.25">
      <c r="B30" s="15"/>
      <c r="C30" s="17"/>
      <c r="D30" s="17"/>
      <c r="E30" s="17"/>
      <c r="F30" s="17"/>
      <c r="G30" s="18"/>
    </row>
    <row r="31" spans="2:10" ht="15.75" thickBot="1" x14ac:dyDescent="0.3">
      <c r="B31" s="37"/>
      <c r="C31" s="38" t="s">
        <v>3</v>
      </c>
      <c r="D31" s="38"/>
      <c r="E31" s="38"/>
      <c r="F31" s="39"/>
      <c r="G31" s="40"/>
    </row>
    <row r="33" spans="2:7" x14ac:dyDescent="0.25">
      <c r="B33" s="41"/>
      <c r="C33" s="45"/>
      <c r="D33" s="42"/>
      <c r="E33" s="46"/>
      <c r="F33" s="41"/>
      <c r="G33" s="41"/>
    </row>
  </sheetData>
  <sheetProtection sheet="1" objects="1" scenarios="1" selectLockedCells="1"/>
  <mergeCells count="2">
    <mergeCell ref="B1:G4"/>
    <mergeCell ref="I1:J4"/>
  </mergeCells>
  <conditionalFormatting sqref="E20">
    <cfRule type="expression" dxfId="2" priority="7">
      <formula>OR(E10="days")</formula>
    </cfRule>
  </conditionalFormatting>
  <conditionalFormatting sqref="E19">
    <cfRule type="expression" dxfId="1" priority="4">
      <formula>OR(E10="days")</formula>
    </cfRule>
  </conditionalFormatting>
  <conditionalFormatting sqref="E16">
    <cfRule type="expression" dxfId="0" priority="2">
      <formula>OR(E12="calculate")</formula>
    </cfRule>
  </conditionalFormatting>
  <dataValidations count="7">
    <dataValidation type="date" operator="greaterThanOrEqual" showInputMessage="1" showErrorMessage="1" errorTitle="Invalid date" error="The expiry date cannot be earlier than 'Date now'." sqref="E20">
      <formula1>E19</formula1>
    </dataValidation>
    <dataValidation type="list" errorStyle="warning" showInputMessage="1" showErrorMessage="1" error="Theyear basis should normally be 360 or 365" sqref="E23 E26">
      <formula1>"360,365"</formula1>
    </dataValidation>
    <dataValidation type="list" showInputMessage="1" showErrorMessage="1" errorTitle="Choose method of input" error="Please enter 'DATES' or 'DAYS'." sqref="E10">
      <formula1>"DATES, DAYS"</formula1>
    </dataValidation>
    <dataValidation type="list" showInputMessage="1" showErrorMessage="1" errorTitle="Interest rate input" error="Please enter 'CONTINUOUS' or 'NORMAL'." sqref="E11">
      <formula1>"CONTINUOUS, NORMAL"</formula1>
    </dataValidation>
    <dataValidation type="list" showInputMessage="1" showErrorMessage="1" errorTitle="Interest rate input" error="Please enter 'CALCULATE' or 'INPUT'." sqref="E12">
      <formula1>"CALCULATE, INPUT"</formula1>
    </dataValidation>
    <dataValidation type="list" showInputMessage="1" showErrorMessage="1" errorTitle="iNVALID ENTRY" error="Please enter 'CALL' or 'PUT'." sqref="E17">
      <formula1>"CALL,PUT"</formula1>
    </dataValidation>
    <dataValidation type="decimal" operator="greaterThan" showInputMessage="1" showErrorMessage="1" errorTitle="Invalid entry" error="The time value cannot be zero or negative" sqref="E18">
      <formula1>IF(E17="call", MAX(0,F-k),MAX(0,k-F))</formula1>
    </dataValidation>
  </dataValidations>
  <hyperlinks>
    <hyperlink ref="C31" r:id="rId1" display="www.markets-international.com"/>
  </hyperlinks>
  <printOptions horizontalCentered="1"/>
  <pageMargins left="0" right="0" top="0.74803149606299213" bottom="0.74803149606299213" header="0.31496062992125984" footer="0.31496062992125984"/>
  <pageSetup paperSize="9" scale="7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Sheet1</vt:lpstr>
      <vt:lpstr>Sheet2</vt:lpstr>
      <vt:lpstr>Sheet3</vt:lpstr>
      <vt:lpstr>d1_</vt:lpstr>
      <vt:lpstr>d2_</vt:lpstr>
      <vt:lpstr>F</vt:lpstr>
      <vt:lpstr>k</vt:lpstr>
      <vt:lpstr>N__d1</vt:lpstr>
      <vt:lpstr>N__d2</vt:lpstr>
      <vt:lpstr>Nd1_</vt:lpstr>
      <vt:lpstr>Nd2_</vt:lpstr>
      <vt:lpstr>Pd1_</vt:lpstr>
      <vt:lpstr>Sheet1!Print_Area</vt:lpstr>
      <vt:lpstr>q</vt:lpstr>
      <vt:lpstr>rr</vt:lpstr>
      <vt:lpstr>s</vt:lpstr>
      <vt:lpstr>t</vt:lpstr>
      <vt:lpstr>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2011-12-30T18:23:18Z</cp:lastPrinted>
  <dcterms:created xsi:type="dcterms:W3CDTF">2011-01-13T14:26:35Z</dcterms:created>
  <dcterms:modified xsi:type="dcterms:W3CDTF">2012-01-04T18:31:11Z</dcterms:modified>
</cp:coreProperties>
</file>